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65" windowWidth="12000" windowHeight="6330" activeTab="0"/>
  </bookViews>
  <sheets>
    <sheet name="plume-Module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<sst xmlns="http://schemas.openxmlformats.org/spreadsheetml/2006/main" count="38" uniqueCount="36">
  <si>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4 = Neutral</t>
  </si>
  <si>
    <t>SCRATCH AREA</t>
  </si>
  <si>
    <t>gas exit temperature in degrees Kelvin</t>
  </si>
  <si>
    <t>ambient temperature in degrees Kelvin</t>
  </si>
  <si>
    <t>}</t>
  </si>
  <si>
    <t>}   interim values for calculating effective stack height</t>
  </si>
  <si>
    <t xml:space="preserve">Lateral and Vertical Disperson Coefficients for Each Stability Category </t>
  </si>
  <si>
    <t>Lat-</t>
  </si>
  <si>
    <t>eral</t>
  </si>
  <si>
    <t>Current Lookup</t>
  </si>
  <si>
    <t>Ver-</t>
  </si>
  <si>
    <t>ti-</t>
  </si>
  <si>
    <t>cal</t>
  </si>
  <si>
    <t>1 = Muy inestable</t>
  </si>
  <si>
    <t>2 = Moderadamente inestable</t>
  </si>
  <si>
    <t>6 = Estable</t>
  </si>
  <si>
    <t>5 = Ligeramente estable</t>
  </si>
  <si>
    <t>3 = Ligeramente inestable</t>
  </si>
  <si>
    <t>Altura de la chimenea (m)</t>
  </si>
  <si>
    <t>Diámetro de la chimenea (m)</t>
  </si>
  <si>
    <t>Velocidad de salida del gas (m/s)</t>
  </si>
  <si>
    <t>Temperatura de salida del gas (C)</t>
  </si>
  <si>
    <t>Temperatura ambiente (C)</t>
  </si>
  <si>
    <t>Categoría</t>
  </si>
  <si>
    <t>de la condición</t>
  </si>
  <si>
    <t>Atmosférica:</t>
  </si>
  <si>
    <t>Velocidad</t>
  </si>
  <si>
    <t>del viento</t>
  </si>
  <si>
    <t>(m/s)</t>
  </si>
  <si>
    <t>Altura</t>
  </si>
  <si>
    <t>Efectiva</t>
  </si>
  <si>
    <t>de la chimenea (m)</t>
  </si>
  <si>
    <t>Distancias seleccionadas de la fuente (km)</t>
  </si>
  <si>
    <t>MODELO GAUSSIANO PARA UNA FUENTE PUNTUAL</t>
  </si>
  <si>
    <t>Tasa de emisión (g/s)</t>
  </si>
  <si>
    <t>Concentración máxima a nivel del suelo (ug/m3)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</si>
</sst>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8"/>
      <name val="Geneva"/>
      <family val="0"/>
    </font>
    <font>
      <b/>
      <sz val="10"/>
      <color indexed="12"/>
      <name val="Geneva"/>
      <family val="0"/>
    </font>
    <font>
      <b/>
      <sz val="10"/>
      <color indexed="10"/>
      <name val="Genev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Concentración máxima del contaminante a nivel del suelo usando un modelo Gaussiano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25"/>
          <c:w val="0.826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'plume-Module3'!$A$14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'plume-Module3'!$E$14:$O$14</c:f>
              <c:numCache/>
            </c:numRef>
          </c:val>
          <c:smooth val="0"/>
        </c:ser>
        <c:ser>
          <c:idx val="1"/>
          <c:order val="1"/>
          <c:tx>
            <c:strRef>
              <c:f>'plume-Module3'!$A$15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'plume-Module3'!$E$15:$O$15</c:f>
              <c:numCache/>
            </c:numRef>
          </c:val>
          <c:smooth val="0"/>
        </c:ser>
        <c:ser>
          <c:idx val="2"/>
          <c:order val="2"/>
          <c:tx>
            <c:strRef>
              <c:f>'plume-Module3'!$A$16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'plume-Module3'!$E$16:$O$16</c:f>
              <c:numCache/>
            </c:numRef>
          </c:val>
          <c:smooth val="0"/>
        </c:ser>
        <c:ser>
          <c:idx val="3"/>
          <c:order val="3"/>
          <c:tx>
            <c:strRef>
              <c:f>'plume-Module3'!$A$17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'plume-Module3'!$E$17:$O$17</c:f>
              <c:numCache/>
            </c:numRef>
          </c:val>
          <c:smooth val="0"/>
        </c:ser>
        <c:ser>
          <c:idx val="4"/>
          <c:order val="4"/>
          <c:tx>
            <c:strRef>
              <c:f>'plume-Module3'!$A$18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'plume-Module3'!$E$18:$O$18</c:f>
              <c:numCache/>
            </c:numRef>
          </c:val>
          <c:smooth val="0"/>
        </c:ser>
        <c:ser>
          <c:idx val="5"/>
          <c:order val="5"/>
          <c:tx>
            <c:strRef>
              <c:f>'plume-Module3'!$A$19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'plume-Module3'!$E$19:$O$19</c:f>
              <c:numCache/>
            </c:numRef>
          </c:val>
          <c:smooth val="0"/>
        </c:ser>
        <c:ser>
          <c:idx val="6"/>
          <c:order val="6"/>
          <c:tx>
            <c:strRef>
              <c:f>'plume-Module3'!$A$20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'plume-Module3'!$E$20:$O$20</c:f>
              <c:numCache/>
            </c:numRef>
          </c:val>
          <c:smooth val="0"/>
        </c:ser>
        <c:ser>
          <c:idx val="7"/>
          <c:order val="7"/>
          <c:tx>
            <c:strRef>
              <c:f>'plume-Module3'!$A$21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'plume-Module3'!$E$21:$O$21</c:f>
              <c:numCache/>
            </c:numRef>
          </c:val>
          <c:smooth val="0"/>
        </c:ser>
        <c:ser>
          <c:idx val="8"/>
          <c:order val="8"/>
          <c:tx>
            <c:strRef>
              <c:f>'plume-Module3'!$A$22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'plume-Module3'!$E$22:$O$22</c:f>
              <c:numCache/>
            </c:numRef>
          </c:val>
          <c:smooth val="0"/>
        </c:ser>
        <c:ser>
          <c:idx val="9"/>
          <c:order val="9"/>
          <c:tx>
            <c:strRef>
              <c:f>'plume-Module3'!$A$23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'plume-Module3'!$E$13:$O$13</c:f>
              <c:numCache/>
            </c:numRef>
          </c:cat>
          <c:val>
            <c:numRef>
              <c:f>'plume-Module3'!$E$23:$O$23</c:f>
              <c:numCache/>
            </c:numRef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Distancia de la fuente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7894442"/>
        <c:crosses val="autoZero"/>
        <c:auto val="0"/>
        <c:lblOffset val="100"/>
        <c:noMultiLvlLbl val="0"/>
      </c:catAx>
      <c:valAx>
        <c:axId val="789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Concentración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57902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85725</xdr:rowOff>
    </xdr:from>
    <xdr:to>
      <xdr:col>15</xdr:col>
      <xdr:colOff>0</xdr:colOff>
      <xdr:row>74</xdr:row>
      <xdr:rowOff>57150</xdr:rowOff>
    </xdr:to>
    <xdr:graphicFrame>
      <xdr:nvGraphicFramePr>
        <xdr:cNvPr id="1" name="Chart 2"/>
        <xdr:cNvGraphicFramePr/>
      </xdr:nvGraphicFramePr>
      <xdr:xfrm>
        <a:off x="19050" y="3810000"/>
        <a:ext cx="6524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G15" sqref="G15"/>
    </sheetView>
  </sheetViews>
  <sheetFormatPr defaultColWidth="5.75390625" defaultRowHeight="12.75"/>
  <cols>
    <col min="1" max="3" width="5.75390625" style="0" customWidth="1"/>
    <col min="4" max="4" width="2.375" style="0" customWidth="1"/>
    <col min="5" max="14" width="5.75390625" style="0" customWidth="1"/>
    <col min="15" max="15" width="8.75390625" style="0" customWidth="1"/>
  </cols>
  <sheetData>
    <row r="1" ht="12.75">
      <c r="A1" s="4" t="s">
        <v>33</v>
      </c>
    </row>
    <row r="3" spans="1:14" ht="12.75">
      <c r="A3" s="5" t="s">
        <v>18</v>
      </c>
      <c r="F3" s="7">
        <v>50</v>
      </c>
      <c r="I3" s="5" t="s">
        <v>20</v>
      </c>
      <c r="N3" s="7">
        <v>5</v>
      </c>
    </row>
    <row r="4" spans="1:14" ht="12.75">
      <c r="A4" s="5" t="s">
        <v>19</v>
      </c>
      <c r="F4" s="7">
        <v>3</v>
      </c>
      <c r="I4" s="5" t="s">
        <v>21</v>
      </c>
      <c r="N4" s="7">
        <v>250</v>
      </c>
    </row>
    <row r="5" spans="1:14" ht="12.75">
      <c r="A5" s="5" t="s">
        <v>34</v>
      </c>
      <c r="F5" s="7">
        <v>10</v>
      </c>
      <c r="I5" s="5" t="s">
        <v>22</v>
      </c>
      <c r="N5" s="7">
        <v>25</v>
      </c>
    </row>
    <row r="6" ht="12.75">
      <c r="A6" s="4"/>
    </row>
    <row r="7" spans="1:13" ht="12.75">
      <c r="A7" s="5" t="s">
        <v>23</v>
      </c>
      <c r="H7" t="s">
        <v>13</v>
      </c>
      <c r="M7" t="s">
        <v>0</v>
      </c>
    </row>
    <row r="8" spans="1:13" ht="12.75">
      <c r="A8" s="5" t="s">
        <v>24</v>
      </c>
      <c r="E8" s="7">
        <v>3</v>
      </c>
      <c r="H8" t="s">
        <v>14</v>
      </c>
      <c r="M8" t="s">
        <v>16</v>
      </c>
    </row>
    <row r="9" spans="1:13" ht="12.75">
      <c r="A9" s="5" t="s">
        <v>25</v>
      </c>
      <c r="H9" t="s">
        <v>17</v>
      </c>
      <c r="M9" t="s">
        <v>15</v>
      </c>
    </row>
    <row r="11" spans="1:15" ht="12.75">
      <c r="A11" s="5" t="s">
        <v>26</v>
      </c>
      <c r="B11" s="5"/>
      <c r="C11" s="5" t="s">
        <v>29</v>
      </c>
      <c r="D11" s="5"/>
      <c r="E11" s="5" t="s">
        <v>35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 t="s">
        <v>27</v>
      </c>
      <c r="B12" s="5"/>
      <c r="C12" s="5" t="s">
        <v>30</v>
      </c>
      <c r="D12" s="5"/>
      <c r="E12" s="5" t="s">
        <v>32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 t="s">
        <v>28</v>
      </c>
      <c r="B13" s="5"/>
      <c r="C13" s="5" t="s">
        <v>31</v>
      </c>
      <c r="D13" s="5"/>
      <c r="E13" s="10">
        <v>0</v>
      </c>
      <c r="F13" s="10">
        <v>0.5</v>
      </c>
      <c r="G13" s="10">
        <v>1</v>
      </c>
      <c r="H13" s="10">
        <v>1.5</v>
      </c>
      <c r="I13" s="10">
        <v>3</v>
      </c>
      <c r="J13" s="10">
        <v>5</v>
      </c>
      <c r="K13" s="10">
        <v>10</v>
      </c>
      <c r="L13" s="10">
        <v>20</v>
      </c>
      <c r="M13" s="10">
        <v>35</v>
      </c>
      <c r="N13" s="10">
        <v>60</v>
      </c>
      <c r="O13" s="10">
        <v>100</v>
      </c>
    </row>
    <row r="14" spans="1:15" ht="12.75">
      <c r="A14" s="6">
        <v>1</v>
      </c>
      <c r="C14" s="8">
        <f aca="true" t="shared" si="0" ref="C14:C23">IF(E$8&lt;5,F$3+B$51/A14,F$3+MIN(2.4*EXP(LN(B$49/(B$52*A14))/3),5*EXP(LN(B$49/(B$52*A14))/3)))</f>
        <v>437.0456217457817</v>
      </c>
      <c r="D14" s="8"/>
      <c r="E14" s="9">
        <f aca="true" t="shared" si="1" ref="E14:O23">IF(OR(E$63&lt;0.01,E$72&lt;0.01),0,1000000*$F$5/(2*PI()*E$63*E$72*$A14)*(EXP(-0.5*($C14/E$72)^2)+EXP(-0.5*($C14/E$72)^2)))</f>
        <v>0</v>
      </c>
      <c r="F14" s="9">
        <f t="shared" si="1"/>
        <v>4.745110725024656E-26</v>
      </c>
      <c r="G14" s="9">
        <f t="shared" si="1"/>
        <v>6.94556352473478E-06</v>
      </c>
      <c r="H14" s="9">
        <f t="shared" si="1"/>
        <v>0.03540377749777285</v>
      </c>
      <c r="I14" s="9">
        <f t="shared" si="1"/>
        <v>4.083347369438713</v>
      </c>
      <c r="J14" s="9">
        <f t="shared" si="1"/>
        <v>7.594950452401954</v>
      </c>
      <c r="K14" s="9">
        <f t="shared" si="1"/>
        <v>5.6626459275425685</v>
      </c>
      <c r="L14" s="9">
        <f t="shared" si="1"/>
        <v>2.9063186544696147</v>
      </c>
      <c r="M14" s="9">
        <f t="shared" si="1"/>
        <v>1.6071599305471362</v>
      </c>
      <c r="N14" s="9">
        <f t="shared" si="1"/>
        <v>0.9082027257201245</v>
      </c>
      <c r="O14" s="9">
        <f t="shared" si="1"/>
        <v>0.5327994746853967</v>
      </c>
    </row>
    <row r="15" spans="1:15" ht="12.75">
      <c r="A15" s="6">
        <v>2</v>
      </c>
      <c r="C15" s="8">
        <f t="shared" si="0"/>
        <v>243.52281087289086</v>
      </c>
      <c r="D15" s="8"/>
      <c r="E15" s="9">
        <f t="shared" si="1"/>
        <v>0</v>
      </c>
      <c r="F15" s="9">
        <f t="shared" si="1"/>
        <v>1.0898465168514757E-06</v>
      </c>
      <c r="G15" s="9">
        <f t="shared" si="1"/>
        <v>0.7999848469427995</v>
      </c>
      <c r="H15" s="9">
        <f t="shared" si="1"/>
        <v>6.759552704528802</v>
      </c>
      <c r="I15" s="9">
        <f t="shared" si="1"/>
        <v>12.717934770805023</v>
      </c>
      <c r="J15" s="9">
        <f t="shared" si="1"/>
        <v>8.6494514885259</v>
      </c>
      <c r="K15" s="9">
        <f t="shared" si="1"/>
        <v>3.8552231225361715</v>
      </c>
      <c r="L15" s="9">
        <f t="shared" si="1"/>
        <v>1.6526147004575276</v>
      </c>
      <c r="M15" s="9">
        <f t="shared" si="1"/>
        <v>0.8594334501703847</v>
      </c>
      <c r="N15" s="9">
        <f t="shared" si="1"/>
        <v>0.4712915682842622</v>
      </c>
      <c r="O15" s="9">
        <f t="shared" si="1"/>
        <v>0.2722187276579921</v>
      </c>
    </row>
    <row r="16" spans="1:15" ht="12.75">
      <c r="A16" s="6">
        <v>3</v>
      </c>
      <c r="C16" s="8">
        <f t="shared" si="0"/>
        <v>179.0152072485939</v>
      </c>
      <c r="D16" s="8"/>
      <c r="E16" s="9">
        <f t="shared" si="1"/>
        <v>0</v>
      </c>
      <c r="F16" s="9">
        <f t="shared" si="1"/>
        <v>0.00851969904224841</v>
      </c>
      <c r="G16" s="9">
        <f t="shared" si="1"/>
        <v>6.8668684959672115</v>
      </c>
      <c r="H16" s="9">
        <f t="shared" si="1"/>
        <v>15.42266944542574</v>
      </c>
      <c r="I16" s="9">
        <f t="shared" si="1"/>
        <v>12.380421822485753</v>
      </c>
      <c r="J16" s="9">
        <f t="shared" si="1"/>
        <v>6.837256247662452</v>
      </c>
      <c r="K16" s="9">
        <f t="shared" si="1"/>
        <v>2.7396965620125937</v>
      </c>
      <c r="L16" s="9">
        <f t="shared" si="1"/>
        <v>1.1314632126377053</v>
      </c>
      <c r="M16" s="9">
        <f t="shared" si="1"/>
        <v>0.5809791527030413</v>
      </c>
      <c r="N16" s="9">
        <f t="shared" si="1"/>
        <v>0.316619742441208</v>
      </c>
      <c r="O16" s="9">
        <f t="shared" si="1"/>
        <v>0.18229251432651195</v>
      </c>
    </row>
    <row r="17" spans="1:15" ht="12.75">
      <c r="A17" s="6">
        <v>4</v>
      </c>
      <c r="C17" s="8">
        <f t="shared" si="0"/>
        <v>146.76140543644544</v>
      </c>
      <c r="D17" s="8"/>
      <c r="E17" s="9">
        <f t="shared" si="1"/>
        <v>0</v>
      </c>
      <c r="F17" s="9">
        <f t="shared" si="1"/>
        <v>0.2366693122696415</v>
      </c>
      <c r="G17" s="9">
        <f t="shared" si="1"/>
        <v>13.792258376479142</v>
      </c>
      <c r="H17" s="9">
        <f t="shared" si="1"/>
        <v>18.58685889083169</v>
      </c>
      <c r="I17" s="9">
        <f t="shared" si="1"/>
        <v>10.744266285806637</v>
      </c>
      <c r="J17" s="9">
        <f t="shared" si="1"/>
        <v>5.476008910975436</v>
      </c>
      <c r="K17" s="9">
        <f t="shared" si="1"/>
        <v>2.106003617752707</v>
      </c>
      <c r="L17" s="9">
        <f t="shared" si="1"/>
        <v>0.8573499206124122</v>
      </c>
      <c r="M17" s="9">
        <f t="shared" si="1"/>
        <v>0.4380766034886696</v>
      </c>
      <c r="N17" s="9">
        <f t="shared" si="1"/>
        <v>0.23816978361563143</v>
      </c>
      <c r="O17" s="9">
        <f t="shared" si="1"/>
        <v>0.1369552785159975</v>
      </c>
    </row>
    <row r="18" spans="1:15" ht="12.75">
      <c r="A18" s="6">
        <v>5</v>
      </c>
      <c r="C18" s="8">
        <f t="shared" si="0"/>
        <v>127.40912434915634</v>
      </c>
      <c r="D18" s="8"/>
      <c r="E18" s="9">
        <f t="shared" si="1"/>
        <v>0</v>
      </c>
      <c r="F18" s="9">
        <f t="shared" si="1"/>
        <v>1.1730913310993492</v>
      </c>
      <c r="G18" s="9">
        <f t="shared" si="1"/>
        <v>18.144817900363194</v>
      </c>
      <c r="H18" s="9">
        <f t="shared" si="1"/>
        <v>18.89335590315161</v>
      </c>
      <c r="I18" s="9">
        <f t="shared" si="1"/>
        <v>9.252749108543815</v>
      </c>
      <c r="J18" s="9">
        <f t="shared" si="1"/>
        <v>4.528516446614167</v>
      </c>
      <c r="K18" s="9">
        <f t="shared" si="1"/>
        <v>1.705885119904747</v>
      </c>
      <c r="L18" s="9">
        <f t="shared" si="1"/>
        <v>0.6894430257711056</v>
      </c>
      <c r="M18" s="9">
        <f t="shared" si="1"/>
        <v>0.3514112855605482</v>
      </c>
      <c r="N18" s="9">
        <f t="shared" si="1"/>
        <v>0.19082124764525277</v>
      </c>
      <c r="O18" s="9">
        <f t="shared" si="1"/>
        <v>0.10965963856090699</v>
      </c>
    </row>
    <row r="19" spans="1:15" ht="12.75">
      <c r="A19" s="6">
        <v>6</v>
      </c>
      <c r="C19" s="8">
        <f t="shared" si="0"/>
        <v>114.50760362429695</v>
      </c>
      <c r="D19" s="8"/>
      <c r="E19" s="9">
        <f t="shared" si="1"/>
        <v>0</v>
      </c>
      <c r="F19" s="9">
        <f t="shared" si="1"/>
        <v>2.8582136258770645</v>
      </c>
      <c r="G19" s="9">
        <f t="shared" si="1"/>
        <v>20.260354181606008</v>
      </c>
      <c r="H19" s="9">
        <f t="shared" si="1"/>
        <v>18.12643671744103</v>
      </c>
      <c r="I19" s="9">
        <f t="shared" si="1"/>
        <v>8.052218752052958</v>
      </c>
      <c r="J19" s="9">
        <f t="shared" si="1"/>
        <v>3.8481005746753887</v>
      </c>
      <c r="K19" s="9">
        <f t="shared" si="1"/>
        <v>1.4320079417813478</v>
      </c>
      <c r="L19" s="9">
        <f t="shared" si="1"/>
        <v>0.5762896787929612</v>
      </c>
      <c r="M19" s="9">
        <f t="shared" si="1"/>
        <v>0.29330943068199594</v>
      </c>
      <c r="N19" s="9">
        <f t="shared" si="1"/>
        <v>0.15915778580784345</v>
      </c>
      <c r="O19" s="9">
        <f t="shared" si="1"/>
        <v>0.091429837203035</v>
      </c>
    </row>
    <row r="20" spans="1:15" ht="12.75">
      <c r="A20" s="6">
        <v>7</v>
      </c>
      <c r="C20" s="8">
        <f t="shared" si="0"/>
        <v>105.29223167796881</v>
      </c>
      <c r="D20" s="8"/>
      <c r="E20" s="9">
        <f t="shared" si="1"/>
        <v>0</v>
      </c>
      <c r="F20" s="9">
        <f t="shared" si="1"/>
        <v>4.9151612874559785</v>
      </c>
      <c r="G20" s="9">
        <f t="shared" si="1"/>
        <v>20.997626689205614</v>
      </c>
      <c r="H20" s="9">
        <f t="shared" si="1"/>
        <v>17.02446258275976</v>
      </c>
      <c r="I20" s="9">
        <f t="shared" si="1"/>
        <v>7.098826272233362</v>
      </c>
      <c r="J20" s="9">
        <f t="shared" si="1"/>
        <v>3.3403934425772</v>
      </c>
      <c r="K20" s="9">
        <f t="shared" si="1"/>
        <v>1.2332763010605379</v>
      </c>
      <c r="L20" s="9">
        <f t="shared" si="1"/>
        <v>0.49494063828839074</v>
      </c>
      <c r="M20" s="9">
        <f t="shared" si="1"/>
        <v>0.25166803224635476</v>
      </c>
      <c r="N20" s="9">
        <f t="shared" si="1"/>
        <v>0.13649893802028673</v>
      </c>
      <c r="O20" s="9">
        <f t="shared" si="1"/>
        <v>0.0783944791981791</v>
      </c>
    </row>
    <row r="21" spans="1:15" ht="12.75">
      <c r="A21" s="6">
        <v>8</v>
      </c>
      <c r="C21" s="8">
        <f t="shared" si="0"/>
        <v>98.38070271822272</v>
      </c>
      <c r="D21" s="8"/>
      <c r="E21" s="9">
        <f t="shared" si="1"/>
        <v>0</v>
      </c>
      <c r="F21" s="9">
        <f t="shared" si="1"/>
        <v>6.977474900205879</v>
      </c>
      <c r="G21" s="9">
        <f t="shared" si="1"/>
        <v>20.964889107537758</v>
      </c>
      <c r="H21" s="9">
        <f t="shared" si="1"/>
        <v>15.873666123708869</v>
      </c>
      <c r="I21" s="9">
        <f t="shared" si="1"/>
        <v>6.334110118169465</v>
      </c>
      <c r="J21" s="9">
        <f t="shared" si="1"/>
        <v>2.9486731094507914</v>
      </c>
      <c r="K21" s="9">
        <f t="shared" si="1"/>
        <v>1.0826829478826099</v>
      </c>
      <c r="L21" s="9">
        <f t="shared" si="1"/>
        <v>0.433668812834681</v>
      </c>
      <c r="M21" s="9">
        <f t="shared" si="1"/>
        <v>0.2203677416850349</v>
      </c>
      <c r="N21" s="9">
        <f t="shared" si="1"/>
        <v>0.11948401264873318</v>
      </c>
      <c r="O21" s="9">
        <f t="shared" si="1"/>
        <v>0.0686110131388791</v>
      </c>
    </row>
    <row r="22" spans="1:15" ht="12.75">
      <c r="A22" s="6">
        <v>9</v>
      </c>
      <c r="C22" s="8">
        <f t="shared" si="0"/>
        <v>93.00506908286464</v>
      </c>
      <c r="D22" s="8"/>
      <c r="E22" s="9">
        <f t="shared" si="1"/>
        <v>0</v>
      </c>
      <c r="F22" s="9">
        <f t="shared" si="1"/>
        <v>8.833584316372363</v>
      </c>
      <c r="G22" s="9">
        <f t="shared" si="1"/>
        <v>20.522419261028645</v>
      </c>
      <c r="H22" s="9">
        <f t="shared" si="1"/>
        <v>14.780640707031159</v>
      </c>
      <c r="I22" s="9">
        <f t="shared" si="1"/>
        <v>5.711350218717893</v>
      </c>
      <c r="J22" s="9">
        <f t="shared" si="1"/>
        <v>2.637950694942098</v>
      </c>
      <c r="K22" s="9">
        <f t="shared" si="1"/>
        <v>0.9647082377285113</v>
      </c>
      <c r="L22" s="9">
        <f t="shared" si="1"/>
        <v>0.3858708816052552</v>
      </c>
      <c r="M22" s="9">
        <f t="shared" si="1"/>
        <v>0.19598528431316495</v>
      </c>
      <c r="N22" s="9">
        <f t="shared" si="1"/>
        <v>0.10623884244820558</v>
      </c>
      <c r="O22" s="9">
        <f t="shared" si="1"/>
        <v>0.060997862240426706</v>
      </c>
    </row>
    <row r="23" spans="1:15" ht="12.75">
      <c r="A23" s="6">
        <v>10</v>
      </c>
      <c r="C23" s="8">
        <f t="shared" si="0"/>
        <v>88.70456217457817</v>
      </c>
      <c r="D23" s="8"/>
      <c r="E23" s="9">
        <f t="shared" si="1"/>
        <v>0</v>
      </c>
      <c r="F23" s="9">
        <f t="shared" si="1"/>
        <v>10.40016376847642</v>
      </c>
      <c r="G23" s="9">
        <f t="shared" si="1"/>
        <v>19.874106942705666</v>
      </c>
      <c r="H23" s="9">
        <f t="shared" si="1"/>
        <v>13.78017880161766</v>
      </c>
      <c r="I23" s="9">
        <f t="shared" si="1"/>
        <v>5.196307763819522</v>
      </c>
      <c r="J23" s="9">
        <f t="shared" si="1"/>
        <v>2.3857794161402066</v>
      </c>
      <c r="K23" s="9">
        <f t="shared" si="1"/>
        <v>0.8698290550584806</v>
      </c>
      <c r="L23" s="9">
        <f t="shared" si="1"/>
        <v>0.34754891673361943</v>
      </c>
      <c r="M23" s="9">
        <f t="shared" si="1"/>
        <v>0.17645709453961064</v>
      </c>
      <c r="N23" s="9">
        <f t="shared" si="1"/>
        <v>0.09563603973651023</v>
      </c>
      <c r="O23" s="9">
        <f t="shared" si="1"/>
        <v>0.05490511470715417</v>
      </c>
    </row>
    <row r="44" ht="12.75" hidden="1"/>
    <row r="45" s="4" customFormat="1" ht="12.75" hidden="1"/>
    <row r="46" ht="12.75" hidden="1">
      <c r="B46" s="4" t="s">
        <v>1</v>
      </c>
    </row>
    <row r="47" spans="2:5" ht="12.75" hidden="1">
      <c r="B47" s="3">
        <f>N4+273.15</f>
        <v>523.15</v>
      </c>
      <c r="E47" t="s">
        <v>2</v>
      </c>
    </row>
    <row r="48" spans="2:5" ht="12.75" hidden="1">
      <c r="B48" s="3">
        <f>N5+273.15</f>
        <v>298.15</v>
      </c>
      <c r="E48" t="s">
        <v>3</v>
      </c>
    </row>
    <row r="49" spans="2:5" ht="12.75" hidden="1">
      <c r="B49" s="3">
        <f>3.12*0.785*N3*F4^2*(B47-B48)/B47</f>
        <v>47.401605658033084</v>
      </c>
      <c r="E49" t="s">
        <v>4</v>
      </c>
    </row>
    <row r="50" spans="2:5" ht="12.75" hidden="1">
      <c r="B50" s="3">
        <f>IF(B49&gt;55,34*(EXP(0.4*LN(B49))),14*(EXP(0.625*LN(B49))))</f>
        <v>156.13443420066076</v>
      </c>
      <c r="E50" t="s">
        <v>5</v>
      </c>
    </row>
    <row r="51" spans="2:5" ht="12.75" hidden="1">
      <c r="B51" s="3">
        <f>1.6*EXP(LN(B49)/3)*EXP(LN(3.5*B50)*2/3)</f>
        <v>387.0456217457817</v>
      </c>
      <c r="E51" t="s">
        <v>4</v>
      </c>
    </row>
    <row r="52" spans="2:5" ht="12.75" hidden="1">
      <c r="B52" s="3">
        <f>IF(E8&lt;6,9.806*0.02/B48,9.806*0.035/B48)</f>
        <v>0.0006577897031695456</v>
      </c>
      <c r="E52" t="s">
        <v>4</v>
      </c>
    </row>
    <row r="53" ht="12.75" hidden="1"/>
    <row r="54" ht="12.75" hidden="1">
      <c r="A54" t="s">
        <v>6</v>
      </c>
    </row>
    <row r="55" ht="12.75" hidden="1"/>
    <row r="56" spans="1:18" ht="12.75" hidden="1">
      <c r="A56" t="s">
        <v>7</v>
      </c>
      <c r="B56">
        <v>1</v>
      </c>
      <c r="E56" s="2">
        <f aca="true" t="shared" si="2" ref="E56:O56">0.22*1000*E13*1/SQRT(1+0.1*E13)</f>
        <v>0</v>
      </c>
      <c r="F56" s="3">
        <f t="shared" si="2"/>
        <v>107.34900802433864</v>
      </c>
      <c r="G56" s="3">
        <f t="shared" si="2"/>
        <v>209.7617696340303</v>
      </c>
      <c r="H56" s="3">
        <f t="shared" si="2"/>
        <v>307.72658671930355</v>
      </c>
      <c r="I56" s="3">
        <f t="shared" si="2"/>
        <v>578.8582927426393</v>
      </c>
      <c r="J56" s="3">
        <f t="shared" si="2"/>
        <v>898.1462390204987</v>
      </c>
      <c r="K56" s="3">
        <f t="shared" si="2"/>
        <v>1555.6349186104044</v>
      </c>
      <c r="L56" s="3">
        <f t="shared" si="2"/>
        <v>2540.3411844343536</v>
      </c>
      <c r="M56" s="3">
        <f t="shared" si="2"/>
        <v>3629.8148100909443</v>
      </c>
      <c r="N56" s="3">
        <f t="shared" si="2"/>
        <v>4989.131043721799</v>
      </c>
      <c r="O56" s="3">
        <f t="shared" si="2"/>
        <v>6633.2495807108</v>
      </c>
      <c r="P56" s="2"/>
      <c r="Q56" s="2"/>
      <c r="R56" s="2"/>
    </row>
    <row r="57" spans="1:18" ht="12.75" hidden="1">
      <c r="A57" t="s">
        <v>8</v>
      </c>
      <c r="B57">
        <v>2</v>
      </c>
      <c r="E57" s="2">
        <f aca="true" t="shared" si="3" ref="E57:O57">0.16*1000*E13*1/SQRT(1+0.1*E13)</f>
        <v>0</v>
      </c>
      <c r="F57" s="3">
        <f t="shared" si="3"/>
        <v>78.07200583588265</v>
      </c>
      <c r="G57" s="3">
        <f t="shared" si="3"/>
        <v>152.55401427929476</v>
      </c>
      <c r="H57" s="3">
        <f t="shared" si="3"/>
        <v>223.80115397767528</v>
      </c>
      <c r="I57" s="3">
        <f t="shared" si="3"/>
        <v>420.987849267374</v>
      </c>
      <c r="J57" s="3">
        <f t="shared" si="3"/>
        <v>653.1972647421809</v>
      </c>
      <c r="K57" s="3">
        <f t="shared" si="3"/>
        <v>1131.3708498984759</v>
      </c>
      <c r="L57" s="3">
        <f t="shared" si="3"/>
        <v>1847.5208614068026</v>
      </c>
      <c r="M57" s="3">
        <f t="shared" si="3"/>
        <v>2639.8653164297775</v>
      </c>
      <c r="N57" s="3">
        <f t="shared" si="3"/>
        <v>3628.4589408885813</v>
      </c>
      <c r="O57" s="3">
        <f t="shared" si="3"/>
        <v>4824.181513244218</v>
      </c>
      <c r="P57" s="2"/>
      <c r="Q57" s="2"/>
      <c r="R57" s="2"/>
    </row>
    <row r="58" spans="2:18" ht="12.75" hidden="1">
      <c r="B58">
        <v>3</v>
      </c>
      <c r="E58" s="2">
        <f aca="true" t="shared" si="4" ref="E58:O58">0.11*1000*E13*1/SQRT(1+0.1*E13)</f>
        <v>0</v>
      </c>
      <c r="F58" s="3">
        <f t="shared" si="4"/>
        <v>53.67450401216932</v>
      </c>
      <c r="G58" s="3">
        <f t="shared" si="4"/>
        <v>104.88088481701514</v>
      </c>
      <c r="H58" s="3">
        <f t="shared" si="4"/>
        <v>153.86329335965178</v>
      </c>
      <c r="I58" s="3">
        <f t="shared" si="4"/>
        <v>289.42914637131963</v>
      </c>
      <c r="J58" s="3">
        <f t="shared" si="4"/>
        <v>449.07311951024934</v>
      </c>
      <c r="K58" s="3">
        <f t="shared" si="4"/>
        <v>777.8174593052022</v>
      </c>
      <c r="L58" s="3">
        <f t="shared" si="4"/>
        <v>1270.1705922171768</v>
      </c>
      <c r="M58" s="3">
        <f t="shared" si="4"/>
        <v>1814.9074050454722</v>
      </c>
      <c r="N58" s="3">
        <f t="shared" si="4"/>
        <v>2494.5655218608995</v>
      </c>
      <c r="O58" s="3">
        <f t="shared" si="4"/>
        <v>3316.6247903554</v>
      </c>
      <c r="P58" s="2"/>
      <c r="Q58" s="2"/>
      <c r="R58" s="2"/>
    </row>
    <row r="59" spans="2:18" ht="12.75" hidden="1">
      <c r="B59">
        <v>4</v>
      </c>
      <c r="E59" s="2">
        <f aca="true" t="shared" si="5" ref="E59:O59">0.08*1000*E13*1/SQRT(1+0.1*E13)</f>
        <v>0</v>
      </c>
      <c r="F59" s="3">
        <f t="shared" si="5"/>
        <v>39.036002917941325</v>
      </c>
      <c r="G59" s="3">
        <f t="shared" si="5"/>
        <v>76.27700713964738</v>
      </c>
      <c r="H59" s="3">
        <f t="shared" si="5"/>
        <v>111.90057698883764</v>
      </c>
      <c r="I59" s="3">
        <f t="shared" si="5"/>
        <v>210.493924633687</v>
      </c>
      <c r="J59" s="3">
        <f t="shared" si="5"/>
        <v>326.59863237109045</v>
      </c>
      <c r="K59" s="3">
        <f t="shared" si="5"/>
        <v>565.6854249492379</v>
      </c>
      <c r="L59" s="3">
        <f t="shared" si="5"/>
        <v>923.7604307034013</v>
      </c>
      <c r="M59" s="3">
        <f t="shared" si="5"/>
        <v>1319.9326582148888</v>
      </c>
      <c r="N59" s="3">
        <f t="shared" si="5"/>
        <v>1814.2294704442907</v>
      </c>
      <c r="O59" s="3">
        <f t="shared" si="5"/>
        <v>2412.090756622109</v>
      </c>
      <c r="P59" s="2"/>
      <c r="Q59" s="2"/>
      <c r="R59" s="2"/>
    </row>
    <row r="60" spans="2:18" ht="12.75" hidden="1">
      <c r="B60">
        <v>5</v>
      </c>
      <c r="E60" s="2">
        <f aca="true" t="shared" si="6" ref="E60:O60">0.06*1000*E13*1/SQRT(1+0.1*E13)</f>
        <v>0</v>
      </c>
      <c r="F60" s="3">
        <f t="shared" si="6"/>
        <v>29.27700218845599</v>
      </c>
      <c r="G60" s="3">
        <f t="shared" si="6"/>
        <v>57.20775535473553</v>
      </c>
      <c r="H60" s="3">
        <f t="shared" si="6"/>
        <v>83.92543274162824</v>
      </c>
      <c r="I60" s="3">
        <f t="shared" si="6"/>
        <v>157.87044347526526</v>
      </c>
      <c r="J60" s="3">
        <f t="shared" si="6"/>
        <v>244.94897427831782</v>
      </c>
      <c r="K60" s="3">
        <f t="shared" si="6"/>
        <v>424.2640687119285</v>
      </c>
      <c r="L60" s="3">
        <f t="shared" si="6"/>
        <v>692.820323027551</v>
      </c>
      <c r="M60" s="3">
        <f t="shared" si="6"/>
        <v>989.9494936611666</v>
      </c>
      <c r="N60" s="3">
        <f t="shared" si="6"/>
        <v>1360.6721028332179</v>
      </c>
      <c r="O60" s="3">
        <f t="shared" si="6"/>
        <v>1809.0680674665819</v>
      </c>
      <c r="P60" s="2"/>
      <c r="Q60" s="2"/>
      <c r="R60" s="2"/>
    </row>
    <row r="61" spans="2:18" ht="12.75" hidden="1">
      <c r="B61">
        <v>6</v>
      </c>
      <c r="E61" s="2">
        <f aca="true" t="shared" si="7" ref="E61:O61">0.04*1000*E13*1/SQRT(1+0.1*E13)</f>
        <v>0</v>
      </c>
      <c r="F61" s="3">
        <f t="shared" si="7"/>
        <v>19.518001458970662</v>
      </c>
      <c r="G61" s="3">
        <f t="shared" si="7"/>
        <v>38.13850356982369</v>
      </c>
      <c r="H61" s="3">
        <f t="shared" si="7"/>
        <v>55.95028849441882</v>
      </c>
      <c r="I61" s="3">
        <f t="shared" si="7"/>
        <v>105.2469623168435</v>
      </c>
      <c r="J61" s="3">
        <f t="shared" si="7"/>
        <v>163.29931618554522</v>
      </c>
      <c r="K61" s="3">
        <f t="shared" si="7"/>
        <v>282.84271247461896</v>
      </c>
      <c r="L61" s="3">
        <f t="shared" si="7"/>
        <v>461.88021535170066</v>
      </c>
      <c r="M61" s="3">
        <f t="shared" si="7"/>
        <v>659.9663291074444</v>
      </c>
      <c r="N61" s="3">
        <f t="shared" si="7"/>
        <v>907.1147352221453</v>
      </c>
      <c r="O61" s="3">
        <f t="shared" si="7"/>
        <v>1206.0453783110545</v>
      </c>
      <c r="P61" s="2"/>
      <c r="Q61" s="2"/>
      <c r="R61" s="2"/>
    </row>
    <row r="62" spans="5:18" ht="12.7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s="1" customFormat="1" ht="12.75" hidden="1">
      <c r="A63" s="1" t="s">
        <v>9</v>
      </c>
      <c r="E63" s="3">
        <f>VLOOKUP($E$8,B$56:$O$61,4)</f>
        <v>0</v>
      </c>
      <c r="F63" s="3">
        <f>VLOOKUP($E$8,$B$56:$O$61,5)</f>
        <v>53.67450401216932</v>
      </c>
      <c r="G63" s="3">
        <f>VLOOKUP($E$8,$B$56:$O$61,6)</f>
        <v>104.88088481701514</v>
      </c>
      <c r="H63" s="3">
        <f>VLOOKUP($E$8,$B$56:$O$61,7)</f>
        <v>153.86329335965178</v>
      </c>
      <c r="I63" s="3">
        <f>VLOOKUP($E$8,$B$56:$O$61,8)</f>
        <v>289.42914637131963</v>
      </c>
      <c r="J63" s="3">
        <f>VLOOKUP($E$8,$B$56:$O$61,9)</f>
        <v>449.07311951024934</v>
      </c>
      <c r="K63" s="3">
        <f>VLOOKUP($E$8,$B$56:$O$61,10)</f>
        <v>777.8174593052022</v>
      </c>
      <c r="L63" s="3">
        <f>VLOOKUP($E$8,$B$56:$O$61,11)</f>
        <v>1270.1705922171768</v>
      </c>
      <c r="M63" s="3">
        <f>VLOOKUP($E$8,$B$56:$O$61,12)</f>
        <v>1814.9074050454722</v>
      </c>
      <c r="N63" s="3">
        <f>VLOOKUP($E$8,$B$56:$O$61,13)</f>
        <v>2494.5655218608995</v>
      </c>
      <c r="O63" s="3">
        <f>VLOOKUP($E$8,$B$56:$O$61,14)</f>
        <v>3316.6247903554</v>
      </c>
      <c r="P63" s="3"/>
      <c r="Q63" s="3"/>
      <c r="R63" s="3"/>
    </row>
    <row r="64" spans="5:18" ht="12.7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 hidden="1">
      <c r="A65" t="s">
        <v>10</v>
      </c>
      <c r="B65">
        <v>1</v>
      </c>
      <c r="E65" s="2">
        <f aca="true" t="shared" si="8" ref="E65:O65">0.2*1000*E13</f>
        <v>0</v>
      </c>
      <c r="F65" s="3">
        <f t="shared" si="8"/>
        <v>100</v>
      </c>
      <c r="G65" s="3">
        <f t="shared" si="8"/>
        <v>200</v>
      </c>
      <c r="H65" s="3">
        <f t="shared" si="8"/>
        <v>300</v>
      </c>
      <c r="I65" s="3">
        <f t="shared" si="8"/>
        <v>600</v>
      </c>
      <c r="J65" s="3">
        <f t="shared" si="8"/>
        <v>1000</v>
      </c>
      <c r="K65" s="3">
        <f t="shared" si="8"/>
        <v>2000</v>
      </c>
      <c r="L65" s="3">
        <f t="shared" si="8"/>
        <v>4000</v>
      </c>
      <c r="M65" s="3">
        <f t="shared" si="8"/>
        <v>7000</v>
      </c>
      <c r="N65" s="3">
        <f t="shared" si="8"/>
        <v>12000</v>
      </c>
      <c r="O65" s="3">
        <f t="shared" si="8"/>
        <v>20000</v>
      </c>
      <c r="P65" s="2"/>
      <c r="Q65" s="2"/>
      <c r="R65" s="2"/>
    </row>
    <row r="66" spans="1:18" ht="12.75" hidden="1">
      <c r="A66" t="s">
        <v>11</v>
      </c>
      <c r="B66">
        <v>2</v>
      </c>
      <c r="E66" s="2">
        <f aca="true" t="shared" si="9" ref="E66:O66">0.12*1000*E13</f>
        <v>0</v>
      </c>
      <c r="F66" s="3">
        <f t="shared" si="9"/>
        <v>60</v>
      </c>
      <c r="G66" s="3">
        <f t="shared" si="9"/>
        <v>120</v>
      </c>
      <c r="H66" s="3">
        <f t="shared" si="9"/>
        <v>180</v>
      </c>
      <c r="I66" s="3">
        <f t="shared" si="9"/>
        <v>360</v>
      </c>
      <c r="J66" s="3">
        <f t="shared" si="9"/>
        <v>600</v>
      </c>
      <c r="K66" s="3">
        <f t="shared" si="9"/>
        <v>1200</v>
      </c>
      <c r="L66" s="3">
        <f t="shared" si="9"/>
        <v>2400</v>
      </c>
      <c r="M66" s="3">
        <f t="shared" si="9"/>
        <v>4200</v>
      </c>
      <c r="N66" s="3">
        <f t="shared" si="9"/>
        <v>7200</v>
      </c>
      <c r="O66" s="3">
        <f t="shared" si="9"/>
        <v>12000</v>
      </c>
      <c r="P66" s="2"/>
      <c r="Q66" s="2"/>
      <c r="R66" s="2"/>
    </row>
    <row r="67" spans="1:18" ht="12.75" hidden="1">
      <c r="A67" t="s">
        <v>12</v>
      </c>
      <c r="B67">
        <v>3</v>
      </c>
      <c r="E67" s="2">
        <f aca="true" t="shared" si="10" ref="E67:O67">0.08*1000*E13*1/SQRT(1+0.2*E13)</f>
        <v>0</v>
      </c>
      <c r="F67" s="3">
        <f t="shared" si="10"/>
        <v>38.13850356982369</v>
      </c>
      <c r="G67" s="3">
        <f t="shared" si="10"/>
        <v>73.02967433402215</v>
      </c>
      <c r="H67" s="3">
        <f t="shared" si="10"/>
        <v>105.2469623168435</v>
      </c>
      <c r="I67" s="3">
        <f t="shared" si="10"/>
        <v>189.73665961010275</v>
      </c>
      <c r="J67" s="3">
        <f t="shared" si="10"/>
        <v>282.84271247461896</v>
      </c>
      <c r="K67" s="3">
        <f t="shared" si="10"/>
        <v>461.88021535170066</v>
      </c>
      <c r="L67" s="3">
        <f t="shared" si="10"/>
        <v>715.5417527999326</v>
      </c>
      <c r="M67" s="3">
        <f t="shared" si="10"/>
        <v>989.9494936611665</v>
      </c>
      <c r="N67" s="3">
        <f t="shared" si="10"/>
        <v>1331.28047094055</v>
      </c>
      <c r="O67" s="3">
        <f t="shared" si="10"/>
        <v>1745.7431218879392</v>
      </c>
      <c r="P67" s="2"/>
      <c r="Q67" s="2"/>
      <c r="R67" s="2"/>
    </row>
    <row r="68" spans="2:18" ht="12.75" hidden="1">
      <c r="B68">
        <v>4</v>
      </c>
      <c r="E68" s="2">
        <f aca="true" t="shared" si="11" ref="E68:O68">0.06*1000*E13*1/SQRT(1+1.5*E13)</f>
        <v>0</v>
      </c>
      <c r="F68" s="3">
        <f t="shared" si="11"/>
        <v>22.677868380553633</v>
      </c>
      <c r="G68" s="3">
        <f t="shared" si="11"/>
        <v>37.94733192202055</v>
      </c>
      <c r="H68" s="3">
        <f t="shared" si="11"/>
        <v>49.923017660270624</v>
      </c>
      <c r="I68" s="3">
        <f t="shared" si="11"/>
        <v>76.75225788801976</v>
      </c>
      <c r="J68" s="3">
        <f t="shared" si="11"/>
        <v>102.8991510855053</v>
      </c>
      <c r="K68" s="3">
        <f t="shared" si="11"/>
        <v>150</v>
      </c>
      <c r="L68" s="3">
        <f t="shared" si="11"/>
        <v>215.5263624321299</v>
      </c>
      <c r="M68" s="3">
        <f t="shared" si="11"/>
        <v>287.10608935035856</v>
      </c>
      <c r="N68" s="3">
        <f t="shared" si="11"/>
        <v>377.3825412198906</v>
      </c>
      <c r="O68" s="3">
        <f t="shared" si="11"/>
        <v>488.27307526269567</v>
      </c>
      <c r="P68" s="2"/>
      <c r="Q68" s="2"/>
      <c r="R68" s="2"/>
    </row>
    <row r="69" spans="2:18" ht="12.75" hidden="1">
      <c r="B69">
        <v>5</v>
      </c>
      <c r="E69" s="2">
        <f aca="true" t="shared" si="12" ref="E69:O69">0.03*1000*E13*1/(1+0.3*E13)</f>
        <v>0</v>
      </c>
      <c r="F69" s="3">
        <f t="shared" si="12"/>
        <v>13.043478260869566</v>
      </c>
      <c r="G69" s="3">
        <f t="shared" si="12"/>
        <v>23.076923076923077</v>
      </c>
      <c r="H69" s="3">
        <f t="shared" si="12"/>
        <v>31.03448275862069</v>
      </c>
      <c r="I69" s="3">
        <f t="shared" si="12"/>
        <v>47.36842105263158</v>
      </c>
      <c r="J69" s="3">
        <f t="shared" si="12"/>
        <v>60</v>
      </c>
      <c r="K69" s="3">
        <f t="shared" si="12"/>
        <v>75</v>
      </c>
      <c r="L69" s="3">
        <f t="shared" si="12"/>
        <v>85.71428571428571</v>
      </c>
      <c r="M69" s="3">
        <f t="shared" si="12"/>
        <v>91.30434782608695</v>
      </c>
      <c r="N69" s="3">
        <f t="shared" si="12"/>
        <v>94.73684210526316</v>
      </c>
      <c r="O69" s="3">
        <f t="shared" si="12"/>
        <v>96.7741935483871</v>
      </c>
      <c r="P69" s="2"/>
      <c r="Q69" s="2"/>
      <c r="R69" s="2"/>
    </row>
    <row r="70" spans="2:18" ht="12.75" hidden="1">
      <c r="B70">
        <v>6</v>
      </c>
      <c r="E70" s="2">
        <f aca="true" t="shared" si="13" ref="E70:O70">0.016*1000*E13*1/(1+0.3*E13)</f>
        <v>0</v>
      </c>
      <c r="F70" s="3">
        <f t="shared" si="13"/>
        <v>6.9565217391304355</v>
      </c>
      <c r="G70" s="3">
        <f t="shared" si="13"/>
        <v>12.307692307692307</v>
      </c>
      <c r="H70" s="3">
        <f t="shared" si="13"/>
        <v>16.551724137931036</v>
      </c>
      <c r="I70" s="3">
        <f t="shared" si="13"/>
        <v>25.263157894736842</v>
      </c>
      <c r="J70" s="3">
        <f t="shared" si="13"/>
        <v>32</v>
      </c>
      <c r="K70" s="3">
        <f t="shared" si="13"/>
        <v>40</v>
      </c>
      <c r="L70" s="3">
        <f t="shared" si="13"/>
        <v>45.714285714285715</v>
      </c>
      <c r="M70" s="3">
        <f t="shared" si="13"/>
        <v>48.69565217391305</v>
      </c>
      <c r="N70" s="3">
        <f t="shared" si="13"/>
        <v>50.526315789473685</v>
      </c>
      <c r="O70" s="3">
        <f t="shared" si="13"/>
        <v>51.61290322580645</v>
      </c>
      <c r="P70" s="2"/>
      <c r="Q70" s="2"/>
      <c r="R70" s="2"/>
    </row>
    <row r="71" spans="5:18" ht="12.7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5:18" ht="12.75" hidden="1">
      <c r="E72" s="3">
        <f>VLOOKUP($E$8,$B$65:$O$70,4)</f>
        <v>0</v>
      </c>
      <c r="F72" s="3">
        <f>VLOOKUP($E$8,$B$65:$O$70,5)</f>
        <v>38.13850356982369</v>
      </c>
      <c r="G72" s="3">
        <f>VLOOKUP($E$8,$B$65:$O$70,6)</f>
        <v>73.02967433402215</v>
      </c>
      <c r="H72" s="3">
        <f>VLOOKUP($E$8,$B$65:$O$70,7)</f>
        <v>105.2469623168435</v>
      </c>
      <c r="I72" s="3">
        <f>VLOOKUP($E$8,$B$65:$O$70,8)</f>
        <v>189.73665961010275</v>
      </c>
      <c r="J72" s="3">
        <f>VLOOKUP($E$8,$B$65:$O$70,9)</f>
        <v>282.84271247461896</v>
      </c>
      <c r="K72" s="3">
        <f>VLOOKUP($E$8,$B$65:$O$70,10)</f>
        <v>461.88021535170066</v>
      </c>
      <c r="L72" s="3">
        <f>VLOOKUP($E$8,$B$65:$O$70,11)</f>
        <v>715.5417527999326</v>
      </c>
      <c r="M72" s="3">
        <f>VLOOKUP($E$8,$B$65:$O$70,12)</f>
        <v>989.9494936611665</v>
      </c>
      <c r="N72" s="3">
        <f>VLOOKUP($E$8,$B$65:$O$70,13)</f>
        <v>1331.28047094055</v>
      </c>
      <c r="O72" s="3">
        <f>VLOOKUP($E$8,$B$65:$O$70,14)</f>
        <v>1745.7431218879392</v>
      </c>
      <c r="P72" s="2"/>
      <c r="Q72" s="2"/>
      <c r="R72" s="2"/>
    </row>
    <row r="73" spans="5:18" ht="12.7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ht="12.75" hidden="1"/>
  </sheetData>
  <sheetProtection sheet="1" objects="1" scenarios="1"/>
  <printOptions gridLines="1"/>
  <pageMargins left="0.75" right="0.75" top="1" bottom="1" header="0" footer="0"/>
  <pageSetup horizontalDpi="300" verticalDpi="300" orientation="landscape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PERSONAL</cp:lastModifiedBy>
  <dcterms:created xsi:type="dcterms:W3CDTF">2000-11-15T23:56:00Z</dcterms:created>
  <dcterms:modified xsi:type="dcterms:W3CDTF">2008-11-25T01:23:05Z</dcterms:modified>
  <cp:category/>
  <cp:version/>
  <cp:contentType/>
  <cp:contentStatus/>
</cp:coreProperties>
</file>